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Plan1!$A$1:$E$75</definedName>
  </definedNames>
  <calcPr calcId="145621"/>
</workbook>
</file>

<file path=xl/calcChain.xml><?xml version="1.0" encoding="utf-8"?>
<calcChain xmlns="http://schemas.openxmlformats.org/spreadsheetml/2006/main">
  <c r="C14" i="1" l="1"/>
  <c r="C66" i="1"/>
  <c r="C65" i="1"/>
  <c r="C64" i="1"/>
  <c r="C63" i="1"/>
  <c r="C62" i="1"/>
  <c r="C61" i="1"/>
  <c r="C60" i="1"/>
  <c r="C58" i="1"/>
  <c r="C17" i="1"/>
  <c r="C16" i="1"/>
  <c r="C31" i="1" s="1"/>
  <c r="C15" i="1"/>
  <c r="C29" i="1"/>
  <c r="C69" i="1"/>
  <c r="C67" i="1"/>
  <c r="C59" i="1"/>
  <c r="C57" i="1"/>
  <c r="C50" i="1"/>
  <c r="D45" i="1"/>
  <c r="E45" i="1"/>
  <c r="C45" i="1"/>
  <c r="C40" i="1"/>
  <c r="C39" i="1"/>
  <c r="C23" i="1"/>
  <c r="C28" i="1"/>
  <c r="C30" i="1" l="1"/>
  <c r="C32" i="1" s="1"/>
  <c r="C36" i="1" s="1"/>
  <c r="C47" i="1" l="1"/>
  <c r="C38" i="1"/>
  <c r="C37" i="1"/>
</calcChain>
</file>

<file path=xl/sharedStrings.xml><?xml version="1.0" encoding="utf-8"?>
<sst xmlns="http://schemas.openxmlformats.org/spreadsheetml/2006/main" count="98" uniqueCount="93">
  <si>
    <t>1- Dados Hidrológicos</t>
  </si>
  <si>
    <t>Reservatório</t>
  </si>
  <si>
    <t>Nome do corpo hídrico formador</t>
  </si>
  <si>
    <t>Região hidrográfica</t>
  </si>
  <si>
    <t>Cota (m)</t>
  </si>
  <si>
    <t>n.a. máximo normal</t>
  </si>
  <si>
    <t>n.a. máximo normal operativo</t>
  </si>
  <si>
    <t>n.a. mínimo normal operativo ou com 90% de garantia</t>
  </si>
  <si>
    <t>n.a. no ponto médio de depleção</t>
  </si>
  <si>
    <t>Vazão afluente média (Qm)</t>
  </si>
  <si>
    <t>anos</t>
  </si>
  <si>
    <t>dias</t>
  </si>
  <si>
    <t>Profundidade média na cota considerada (Z)</t>
  </si>
  <si>
    <t>m</t>
  </si>
  <si>
    <t>Fonte: SIPOT</t>
  </si>
  <si>
    <t>2- Cálculo da quantidade de fósforo (P) gerada no sistema de cultivo</t>
  </si>
  <si>
    <t>Espécie cultivada</t>
  </si>
  <si>
    <t>Proporção de P na ração (Pr)</t>
  </si>
  <si>
    <t>kg P/ton ração</t>
  </si>
  <si>
    <t>Proporção de P que fica retido na carcaça do peixe (Pp) *</t>
  </si>
  <si>
    <t>kg P/ton peixe</t>
  </si>
  <si>
    <t>Taxa de conversão alimentar (TCA)</t>
  </si>
  <si>
    <t>kg ração/kg peixe</t>
  </si>
  <si>
    <t>Proporção de P que vai para a água (Pa)</t>
  </si>
  <si>
    <t>Pa = (Pr . TCA) - Pp</t>
  </si>
  <si>
    <t>* Fonte: Dantas, M.C. &amp; Attayde, J.L. 2007. Nitrogen and phosphorus content of some temperate and tropical freshwater fishes. Journal of Fish Biology 70:100-108.</t>
  </si>
  <si>
    <t>3 - Cálculo da produção máxima admissível</t>
  </si>
  <si>
    <t>3.1 - Capacidade de diluição de fósforo</t>
  </si>
  <si>
    <t>Incremento autorizável na concentração de P (Δ[P]) *</t>
  </si>
  <si>
    <t>Volume na capacidade mínima ou com alta garantia (V)</t>
  </si>
  <si>
    <t>Tempo de residência da água no reservatório (td)</t>
  </si>
  <si>
    <t>Coeficiente de retenção de fósforo (R) **</t>
  </si>
  <si>
    <t>Coeficiente de capacidade (K)</t>
  </si>
  <si>
    <t>K = ρ / (1- R)</t>
  </si>
  <si>
    <t>Carga anual máxima de P para todo o reservatório (Lr)</t>
  </si>
  <si>
    <t>kg/ano</t>
  </si>
  <si>
    <t>* Δ[P] corresponde a um incremento máximo de 1/6 da concentração permitida pela Resolução Conama 357/2005.</t>
  </si>
  <si>
    <t>** Fonte: Straskraba, M. 1996. Lake and reservoir management. Verh. Internat. Verein. Limnol. 26:193-209</t>
  </si>
  <si>
    <t>3.2 - Produção de peixes e quantidade de ração admissíveis</t>
  </si>
  <si>
    <t>Máxima produção de peixes no reservatório (B)</t>
  </si>
  <si>
    <t>ton/ano</t>
  </si>
  <si>
    <t>B = Lr / Pa</t>
  </si>
  <si>
    <t>Quantidade máxima de ração (Mr)</t>
  </si>
  <si>
    <t>Mr = B / TCA</t>
  </si>
  <si>
    <t>Área máxima outorgável do reservatório (Amo) *</t>
  </si>
  <si>
    <t>Área individual máxima outorgável (Aio)</t>
  </si>
  <si>
    <t>4 - Análise de empreendimento</t>
  </si>
  <si>
    <t>4.1 - Características zootécnicas do(s) pedido(s) em análise</t>
  </si>
  <si>
    <t>Nome / Razão Social do requerente de outorga</t>
  </si>
  <si>
    <t>Produção anual de peixes (ton)</t>
  </si>
  <si>
    <t>Representatividade em relação ao total outorgável</t>
  </si>
  <si>
    <t>Nº de tanques-rede (unidades)</t>
  </si>
  <si>
    <t>Conversão alimentar média</t>
  </si>
  <si>
    <t>Proporção de Fósforo na ração (kg P/ton ração)</t>
  </si>
  <si>
    <t>Nº de ciclos por ano</t>
  </si>
  <si>
    <t>Peso individual do alevino (kg)</t>
  </si>
  <si>
    <t>Peso do indivíduo na despesca (kg)</t>
  </si>
  <si>
    <t>Ganho de peso/ciclo (kg)</t>
  </si>
  <si>
    <t>Quantidade de ração por ano (kg)</t>
  </si>
  <si>
    <t>Quantidade máxima de ração por dia (kg)</t>
  </si>
  <si>
    <t>Carga anual de Fósforo na água (kg P/ano)</t>
  </si>
  <si>
    <t>Carga diária média de Fósforo na água (kg P/dia)</t>
  </si>
  <si>
    <t>Área da poligonal do empreendimento (ha)</t>
  </si>
  <si>
    <r>
      <t>Área (km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</si>
  <si>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Volume (hm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</si>
  <si>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/s</t>
    </r>
  </si>
  <si>
    <t>Tempo de residência (volume na capacidade máxima / Qm)</t>
  </si>
  <si>
    <t>Taxa de renovação (ρ) (inverso do tempo de residência)</t>
  </si>
  <si>
    <r>
      <t>ano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(vezes/ano)</t>
    </r>
  </si>
  <si>
    <r>
      <t>mg/m</t>
    </r>
    <r>
      <rPr>
        <vertAlign val="superscript"/>
        <sz val="11"/>
        <rFont val="Arial"/>
        <family val="2"/>
      </rPr>
      <t>3</t>
    </r>
  </si>
  <si>
    <r>
      <t>hm</t>
    </r>
    <r>
      <rPr>
        <vertAlign val="superscript"/>
        <sz val="11"/>
        <rFont val="Arial"/>
        <family val="2"/>
      </rPr>
      <t>3</t>
    </r>
  </si>
  <si>
    <r>
      <t>R=0,761(1-e</t>
    </r>
    <r>
      <rPr>
        <vertAlign val="superscript"/>
        <sz val="11"/>
        <rFont val="Arial"/>
        <family val="2"/>
      </rPr>
      <t>-10,293.td</t>
    </r>
    <r>
      <rPr>
        <sz val="11"/>
        <rFont val="Arial"/>
        <family val="2"/>
      </rPr>
      <t>)</t>
    </r>
  </si>
  <si>
    <r>
      <t>Lr = Δ[P].V.td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/(1-R)</t>
    </r>
  </si>
  <si>
    <r>
      <t>m</t>
    </r>
    <r>
      <rPr>
        <b/>
        <vertAlign val="superscript"/>
        <sz val="11"/>
        <rFont val="Arial"/>
        <family val="2"/>
      </rPr>
      <t>2</t>
    </r>
  </si>
  <si>
    <r>
      <t>*Art. 2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>, inciso I da Instrução normativa Interministerial nº 07, de 28 de abril de 2005.</t>
    </r>
  </si>
  <si>
    <r>
      <t xml:space="preserve">Produção anual de peixes requerida (kg) </t>
    </r>
    <r>
      <rPr>
        <vertAlign val="superscript"/>
        <sz val="11"/>
        <rFont val="Arial"/>
        <family val="2"/>
      </rPr>
      <t>1</t>
    </r>
  </si>
  <si>
    <r>
      <t>Volume útil individual das gaiolas (m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</si>
  <si>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Volume útil total das gaiolas (m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</si>
  <si>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Área ocupada por tanque-rede (m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</si>
  <si>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Densidade de estocagem na fase adulta (peixes/m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</si>
  <si>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Densidade de alevinos (alevinos/m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</si>
  <si>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Biomassa ao final de cada ciclo (kg/m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</si>
  <si>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Biomassa inicial (kg/m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</si>
  <si>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Ganho de peso (kg/m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</si>
  <si>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Área total apenas de tanques-rede (m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</si>
  <si>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Área da poligonal do empreendimento (m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</si>
  <si>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t>1.1 -Características físicas do reservatório</t>
  </si>
  <si>
    <t xml:space="preserve">Técnico Responsável: </t>
  </si>
  <si>
    <t>CREA:</t>
  </si>
  <si>
    <t>Data:</t>
  </si>
  <si>
    <t>Nº da DURH:</t>
  </si>
  <si>
    <t xml:space="preserve">                                    Formulário de aquicultura </t>
  </si>
  <si>
    <t xml:space="preserve">                                          em Tanque Rede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</si>
</sst>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name val="Arial"/>
      <family val="2"/>
    </font>
    <font>
      <sz val="11"/>
      <color indexed="10"/>
      <name val="Arial"/>
      <family val="2"/>
    </font>
    <font>
      <sz val="11"/>
      <color indexed="23"/>
      <name val="Arial"/>
      <family val="2"/>
    </font>
    <font>
      <i/>
      <sz val="11"/>
      <name val="Arial"/>
      <family val="2"/>
    </font>
    <font>
      <b/>
      <sz val="11"/>
      <color indexed="18"/>
      <name val="Arial"/>
      <family val="2"/>
    </font>
    <font>
      <b/>
      <vertAlign val="superscript"/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5" fillId="0" borderId="0" xfId="0" applyFont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5" fillId="4" borderId="1" xfId="0" applyFont="1" applyFill="1" applyBorder="1" applyAlignment="1" applyProtection="1">
      <protection locked="0"/>
    </xf>
    <xf numFmtId="0" fontId="0" fillId="3" borderId="0" xfId="0" applyFill="1" applyBorder="1"/>
    <xf numFmtId="0" fontId="0" fillId="0" borderId="0" xfId="0" applyBorder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14" fillId="0" borderId="2" xfId="0" applyFont="1" applyBorder="1" applyAlignment="1" applyProtection="1">
      <alignment horizontal="right" vertical="top"/>
    </xf>
    <xf numFmtId="0" fontId="2" fillId="0" borderId="2" xfId="1" applyFont="1" applyFill="1" applyBorder="1" applyAlignment="1" applyProtection="1">
      <alignment horizontal="center"/>
    </xf>
    <xf numFmtId="0" fontId="2" fillId="0" borderId="2" xfId="1" applyFont="1" applyBorder="1" applyProtection="1"/>
    <xf numFmtId="165" fontId="3" fillId="3" borderId="2" xfId="1" applyNumberFormat="1" applyFont="1" applyFill="1" applyBorder="1" applyAlignment="1" applyProtection="1">
      <alignment horizontal="right"/>
    </xf>
    <xf numFmtId="0" fontId="3" fillId="3" borderId="2" xfId="1" applyFont="1" applyFill="1" applyBorder="1" applyAlignment="1" applyProtection="1">
      <alignment horizontal="left"/>
    </xf>
    <xf numFmtId="4" fontId="2" fillId="3" borderId="2" xfId="1" applyNumberFormat="1" applyFont="1" applyFill="1" applyBorder="1" applyAlignment="1" applyProtection="1">
      <alignment horizontal="right"/>
    </xf>
    <xf numFmtId="0" fontId="2" fillId="3" borderId="2" xfId="1" applyFont="1" applyFill="1" applyBorder="1" applyAlignment="1" applyProtection="1">
      <alignment horizontal="left"/>
    </xf>
    <xf numFmtId="165" fontId="2" fillId="3" borderId="2" xfId="1" applyNumberFormat="1" applyFont="1" applyFill="1" applyBorder="1" applyAlignment="1" applyProtection="1">
      <alignment horizontal="right"/>
    </xf>
    <xf numFmtId="4" fontId="2" fillId="0" borderId="2" xfId="1" applyNumberFormat="1" applyFont="1" applyBorder="1" applyAlignment="1" applyProtection="1">
      <alignment horizontal="left"/>
    </xf>
    <xf numFmtId="0" fontId="2" fillId="0" borderId="2" xfId="1" applyFont="1" applyBorder="1" applyAlignment="1" applyProtection="1">
      <alignment horizontal="left"/>
    </xf>
    <xf numFmtId="0" fontId="9" fillId="0" borderId="2" xfId="1" applyFont="1" applyBorder="1" applyProtection="1"/>
    <xf numFmtId="0" fontId="3" fillId="3" borderId="2" xfId="1" applyFont="1" applyFill="1" applyBorder="1" applyProtection="1"/>
    <xf numFmtId="0" fontId="2" fillId="0" borderId="3" xfId="1" applyFont="1" applyBorder="1" applyAlignment="1" applyProtection="1">
      <alignment horizontal="justify"/>
    </xf>
    <xf numFmtId="49" fontId="2" fillId="2" borderId="7" xfId="1" applyNumberFormat="1" applyFont="1" applyFill="1" applyBorder="1" applyAlignment="1" applyProtection="1">
      <alignment horizontal="left"/>
    </xf>
    <xf numFmtId="4" fontId="2" fillId="3" borderId="2" xfId="1" applyNumberFormat="1" applyFont="1" applyFill="1" applyBorder="1" applyProtection="1"/>
    <xf numFmtId="0" fontId="2" fillId="3" borderId="3" xfId="1" applyFont="1" applyFill="1" applyBorder="1" applyProtection="1"/>
    <xf numFmtId="49" fontId="2" fillId="2" borderId="10" xfId="1" applyNumberFormat="1" applyFont="1" applyFill="1" applyBorder="1" applyAlignment="1" applyProtection="1">
      <alignment horizontal="center" shrinkToFit="1"/>
    </xf>
    <xf numFmtId="165" fontId="2" fillId="3" borderId="2" xfId="1" applyNumberFormat="1" applyFont="1" applyFill="1" applyBorder="1" applyProtection="1"/>
    <xf numFmtId="0" fontId="2" fillId="2" borderId="10" xfId="1" applyFont="1" applyFill="1" applyBorder="1" applyAlignment="1" applyProtection="1">
      <alignment horizontal="center"/>
    </xf>
    <xf numFmtId="0" fontId="2" fillId="0" borderId="10" xfId="1" applyFont="1" applyFill="1" applyBorder="1" applyAlignment="1" applyProtection="1">
      <alignment horizontal="right"/>
    </xf>
    <xf numFmtId="0" fontId="8" fillId="3" borderId="2" xfId="1" applyFont="1" applyFill="1" applyBorder="1" applyAlignment="1" applyProtection="1">
      <alignment horizontal="left"/>
    </xf>
    <xf numFmtId="165" fontId="8" fillId="3" borderId="2" xfId="1" applyNumberFormat="1" applyFont="1" applyFill="1" applyBorder="1" applyProtection="1"/>
    <xf numFmtId="0" fontId="8" fillId="3" borderId="3" xfId="1" applyFont="1" applyFill="1" applyBorder="1" applyAlignment="1" applyProtection="1">
      <alignment horizontal="justify"/>
    </xf>
    <xf numFmtId="49" fontId="8" fillId="2" borderId="10" xfId="1" applyNumberFormat="1" applyFont="1" applyFill="1" applyBorder="1" applyAlignment="1" applyProtection="1">
      <alignment horizontal="center"/>
    </xf>
    <xf numFmtId="165" fontId="3" fillId="3" borderId="2" xfId="1" applyNumberFormat="1" applyFont="1" applyFill="1" applyBorder="1" applyProtection="1"/>
    <xf numFmtId="0" fontId="3" fillId="3" borderId="3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left"/>
    </xf>
    <xf numFmtId="165" fontId="11" fillId="2" borderId="2" xfId="1" applyNumberFormat="1" applyFont="1" applyFill="1" applyBorder="1" applyProtection="1"/>
    <xf numFmtId="0" fontId="3" fillId="2" borderId="2" xfId="1" applyFont="1" applyFill="1" applyBorder="1" applyProtection="1"/>
    <xf numFmtId="0" fontId="2" fillId="2" borderId="2" xfId="1" applyFont="1" applyFill="1" applyBorder="1" applyAlignment="1" applyProtection="1">
      <alignment horizontal="center"/>
    </xf>
    <xf numFmtId="0" fontId="2" fillId="2" borderId="7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justify"/>
    </xf>
    <xf numFmtId="0" fontId="2" fillId="0" borderId="3" xfId="1" applyFont="1" applyBorder="1" applyProtection="1"/>
    <xf numFmtId="0" fontId="2" fillId="0" borderId="9" xfId="1" applyFont="1" applyBorder="1" applyProtection="1"/>
    <xf numFmtId="0" fontId="2" fillId="3" borderId="2" xfId="1" applyFont="1" applyFill="1" applyBorder="1" applyAlignment="1" applyProtection="1">
      <alignment vertical="center"/>
    </xf>
    <xf numFmtId="0" fontId="2" fillId="3" borderId="2" xfId="1" applyFont="1" applyFill="1" applyBorder="1" applyProtection="1"/>
    <xf numFmtId="10" fontId="2" fillId="3" borderId="2" xfId="1" applyNumberFormat="1" applyFont="1" applyFill="1" applyBorder="1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4" fontId="3" fillId="4" borderId="2" xfId="1" applyNumberFormat="1" applyFont="1" applyFill="1" applyBorder="1" applyProtection="1">
      <protection locked="0"/>
    </xf>
    <xf numFmtId="4" fontId="3" fillId="4" borderId="2" xfId="1" applyNumberFormat="1" applyFont="1" applyFill="1" applyBorder="1" applyAlignment="1" applyProtection="1">
      <alignment horizontal="right"/>
      <protection locked="0"/>
    </xf>
    <xf numFmtId="4" fontId="2" fillId="4" borderId="2" xfId="1" applyNumberFormat="1" applyFont="1" applyFill="1" applyBorder="1" applyAlignment="1" applyProtection="1">
      <alignment horizontal="right"/>
      <protection locked="0"/>
    </xf>
    <xf numFmtId="0" fontId="2" fillId="4" borderId="2" xfId="1" applyFont="1" applyFill="1" applyBorder="1" applyProtection="1">
      <protection locked="0"/>
    </xf>
    <xf numFmtId="165" fontId="2" fillId="4" borderId="2" xfId="1" applyNumberFormat="1" applyFont="1" applyFill="1" applyBorder="1" applyAlignment="1" applyProtection="1">
      <alignment horizontal="right"/>
      <protection locked="0"/>
    </xf>
    <xf numFmtId="4" fontId="2" fillId="4" borderId="2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2" fillId="3" borderId="15" xfId="1" applyFont="1" applyFill="1" applyBorder="1" applyAlignment="1" applyProtection="1">
      <alignment horizontal="center" vertical="center"/>
    </xf>
    <xf numFmtId="4" fontId="2" fillId="3" borderId="3" xfId="1" applyNumberFormat="1" applyFont="1" applyFill="1" applyBorder="1" applyAlignment="1" applyProtection="1">
      <alignment horizontal="center"/>
    </xf>
    <xf numFmtId="4" fontId="2" fillId="3" borderId="5" xfId="1" applyNumberFormat="1" applyFont="1" applyFill="1" applyBorder="1" applyAlignment="1" applyProtection="1">
      <alignment horizontal="center"/>
    </xf>
    <xf numFmtId="4" fontId="2" fillId="3" borderId="4" xfId="1" applyNumberFormat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left"/>
    </xf>
    <xf numFmtId="0" fontId="2" fillId="3" borderId="4" xfId="1" applyFont="1" applyFill="1" applyBorder="1" applyAlignment="1" applyProtection="1">
      <alignment horizontal="left"/>
    </xf>
    <xf numFmtId="3" fontId="2" fillId="3" borderId="3" xfId="1" applyNumberFormat="1" applyFont="1" applyFill="1" applyBorder="1" applyAlignment="1" applyProtection="1">
      <alignment horizontal="center"/>
    </xf>
    <xf numFmtId="3" fontId="2" fillId="3" borderId="5" xfId="1" applyNumberFormat="1" applyFont="1" applyFill="1" applyBorder="1" applyAlignment="1" applyProtection="1">
      <alignment horizontal="center"/>
    </xf>
    <xf numFmtId="3" fontId="2" fillId="3" borderId="4" xfId="1" applyNumberFormat="1" applyFont="1" applyFill="1" applyBorder="1" applyAlignment="1" applyProtection="1">
      <alignment horizontal="center"/>
    </xf>
    <xf numFmtId="165" fontId="2" fillId="3" borderId="3" xfId="1" applyNumberFormat="1" applyFont="1" applyFill="1" applyBorder="1" applyAlignment="1" applyProtection="1">
      <alignment horizontal="center"/>
    </xf>
    <xf numFmtId="165" fontId="2" fillId="3" borderId="5" xfId="1" applyNumberFormat="1" applyFont="1" applyFill="1" applyBorder="1" applyAlignment="1" applyProtection="1">
      <alignment horizontal="center"/>
    </xf>
    <xf numFmtId="165" fontId="2" fillId="3" borderId="4" xfId="1" applyNumberFormat="1" applyFont="1" applyFill="1" applyBorder="1" applyAlignment="1" applyProtection="1">
      <alignment horizontal="center"/>
    </xf>
    <xf numFmtId="0" fontId="6" fillId="0" borderId="8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17" xfId="0" applyFont="1" applyBorder="1" applyAlignment="1" applyProtection="1">
      <alignment horizontal="left" vertical="top"/>
    </xf>
    <xf numFmtId="0" fontId="3" fillId="3" borderId="2" xfId="1" applyFont="1" applyFill="1" applyBorder="1" applyAlignment="1" applyProtection="1">
      <alignment horizontal="left"/>
    </xf>
    <xf numFmtId="0" fontId="13" fillId="3" borderId="2" xfId="1" applyFont="1" applyFill="1" applyBorder="1" applyAlignment="1" applyProtection="1">
      <alignment horizontal="left"/>
    </xf>
    <xf numFmtId="0" fontId="13" fillId="3" borderId="7" xfId="1" applyFont="1" applyFill="1" applyBorder="1" applyAlignment="1" applyProtection="1">
      <alignment horizontal="left"/>
    </xf>
    <xf numFmtId="0" fontId="2" fillId="2" borderId="7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2" borderId="9" xfId="1" applyFont="1" applyFill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 vertical="top"/>
      <protection locked="0"/>
    </xf>
    <xf numFmtId="4" fontId="2" fillId="0" borderId="3" xfId="1" applyNumberFormat="1" applyFont="1" applyBorder="1" applyAlignment="1" applyProtection="1">
      <alignment horizontal="center"/>
    </xf>
    <xf numFmtId="4" fontId="2" fillId="0" borderId="4" xfId="1" applyNumberFormat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left"/>
    </xf>
    <xf numFmtId="0" fontId="2" fillId="0" borderId="4" xfId="1" applyFont="1" applyBorder="1" applyAlignment="1" applyProtection="1">
      <alignment horizontal="left"/>
    </xf>
    <xf numFmtId="0" fontId="10" fillId="3" borderId="2" xfId="1" applyFont="1" applyFill="1" applyBorder="1" applyAlignment="1" applyProtection="1">
      <alignment horizontal="left"/>
    </xf>
    <xf numFmtId="0" fontId="10" fillId="3" borderId="7" xfId="1" applyFont="1" applyFill="1" applyBorder="1" applyAlignment="1" applyProtection="1">
      <alignment horizontal="left"/>
    </xf>
    <xf numFmtId="0" fontId="3" fillId="3" borderId="9" xfId="1" applyFont="1" applyFill="1" applyBorder="1" applyAlignment="1" applyProtection="1">
      <alignment horizontal="left"/>
    </xf>
    <xf numFmtId="0" fontId="2" fillId="4" borderId="3" xfId="1" applyFont="1" applyFill="1" applyBorder="1" applyAlignment="1" applyProtection="1">
      <alignment horizontal="center"/>
      <protection locked="0"/>
    </xf>
    <xf numFmtId="0" fontId="2" fillId="4" borderId="5" xfId="1" applyFon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horizontal="center"/>
      <protection locked="0"/>
    </xf>
    <xf numFmtId="0" fontId="3" fillId="4" borderId="3" xfId="1" applyFont="1" applyFill="1" applyBorder="1" applyAlignment="1" applyProtection="1">
      <protection locked="0"/>
    </xf>
    <xf numFmtId="0" fontId="3" fillId="4" borderId="5" xfId="1" applyFont="1" applyFill="1" applyBorder="1" applyAlignment="1" applyProtection="1">
      <protection locked="0"/>
    </xf>
    <xf numFmtId="0" fontId="3" fillId="4" borderId="4" xfId="1" applyFont="1" applyFill="1" applyBorder="1" applyAlignment="1" applyProtection="1">
      <protection locked="0"/>
    </xf>
    <xf numFmtId="0" fontId="2" fillId="4" borderId="3" xfId="1" applyFont="1" applyFill="1" applyBorder="1" applyAlignment="1" applyProtection="1">
      <protection locked="0"/>
    </xf>
    <xf numFmtId="0" fontId="2" fillId="4" borderId="5" xfId="1" applyFont="1" applyFill="1" applyBorder="1" applyAlignment="1" applyProtection="1">
      <protection locked="0"/>
    </xf>
    <xf numFmtId="0" fontId="2" fillId="4" borderId="4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alignment horizontal="left" wrapText="1"/>
    </xf>
    <xf numFmtId="49" fontId="2" fillId="2" borderId="2" xfId="1" applyNumberFormat="1" applyFont="1" applyFill="1" applyBorder="1" applyAlignment="1" applyProtection="1">
      <alignment horizontal="left" wrapText="1"/>
    </xf>
    <xf numFmtId="49" fontId="2" fillId="2" borderId="9" xfId="1" applyNumberFormat="1" applyFont="1" applyFill="1" applyBorder="1" applyAlignment="1" applyProtection="1">
      <alignment horizontal="left" wrapText="1"/>
    </xf>
    <xf numFmtId="49" fontId="2" fillId="4" borderId="2" xfId="1" applyNumberFormat="1" applyFont="1" applyFill="1" applyBorder="1" applyAlignment="1" applyProtection="1">
      <alignment horizontal="left" vertical="center"/>
      <protection locked="0"/>
    </xf>
    <xf numFmtId="4" fontId="2" fillId="4" borderId="2" xfId="1" applyNumberFormat="1" applyFon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/>
    </xf>
    <xf numFmtId="165" fontId="3" fillId="3" borderId="5" xfId="1" applyNumberFormat="1" applyFont="1" applyFill="1" applyBorder="1" applyAlignment="1" applyProtection="1">
      <alignment horizontal="center"/>
    </xf>
    <xf numFmtId="165" fontId="3" fillId="3" borderId="4" xfId="1" applyNumberFormat="1" applyFont="1" applyFill="1" applyBorder="1" applyAlignment="1" applyProtection="1">
      <alignment horizontal="center"/>
    </xf>
    <xf numFmtId="165" fontId="2" fillId="4" borderId="2" xfId="1" applyNumberFormat="1" applyFont="1" applyFill="1" applyBorder="1" applyAlignment="1" applyProtection="1">
      <alignment horizontal="left"/>
      <protection locked="0"/>
    </xf>
    <xf numFmtId="165" fontId="2" fillId="4" borderId="10" xfId="1" applyNumberFormat="1" applyFont="1" applyFill="1" applyBorder="1" applyAlignment="1" applyProtection="1">
      <alignment horizontal="left"/>
      <protection locked="0"/>
    </xf>
    <xf numFmtId="165" fontId="3" fillId="3" borderId="3" xfId="1" applyNumberFormat="1" applyFont="1" applyFill="1" applyBorder="1" applyAlignment="1" applyProtection="1">
      <alignment horizontal="center" wrapText="1"/>
    </xf>
    <xf numFmtId="165" fontId="3" fillId="3" borderId="5" xfId="1" applyNumberFormat="1" applyFont="1" applyFill="1" applyBorder="1" applyAlignment="1" applyProtection="1">
      <alignment horizontal="center" wrapText="1"/>
    </xf>
    <xf numFmtId="165" fontId="3" fillId="3" borderId="4" xfId="1" applyNumberFormat="1" applyFont="1" applyFill="1" applyBorder="1" applyAlignment="1" applyProtection="1">
      <alignment horizontal="center" wrapText="1"/>
    </xf>
    <xf numFmtId="4" fontId="2" fillId="4" borderId="7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4</xdr:col>
      <xdr:colOff>1504951</xdr:colOff>
      <xdr:row>1</xdr:row>
      <xdr:rowOff>452743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0"/>
          <a:ext cx="2343151" cy="92899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1352550</xdr:colOff>
      <xdr:row>1</xdr:row>
      <xdr:rowOff>457200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81"/>
        <a:stretch/>
      </xdr:blipFill>
      <xdr:spPr>
        <a:xfrm>
          <a:off x="38100" y="0"/>
          <a:ext cx="1314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abSelected="1" view="pageBreakPreview" zoomScaleNormal="100" zoomScaleSheetLayoutView="100" workbookViewId="0">
      <selection activeCell="D74" sqref="D74"/>
    </sheetView>
  </sheetViews>
  <sheetFormatPr defaultRowHeight="15" x14ac:dyDescent="0.25"/>
  <cols>
    <col min="1" max="1" width="26.42578125" customWidth="1"/>
    <col min="2" max="2" width="28" style="1" customWidth="1"/>
    <col min="3" max="3" width="15.140625" customWidth="1"/>
    <col min="4" max="4" width="19" customWidth="1"/>
    <col min="5" max="5" width="22.7109375" customWidth="1"/>
  </cols>
  <sheetData>
    <row r="1" spans="1:6" ht="37.5" customHeight="1" x14ac:dyDescent="0.3">
      <c r="A1" s="77" t="s">
        <v>91</v>
      </c>
      <c r="B1" s="78"/>
      <c r="C1" s="78"/>
      <c r="D1" s="78"/>
      <c r="E1" s="79"/>
      <c r="F1" s="12"/>
    </row>
    <row r="2" spans="1:6" ht="37.5" customHeight="1" x14ac:dyDescent="0.25">
      <c r="A2" s="80" t="s">
        <v>92</v>
      </c>
      <c r="B2" s="81"/>
      <c r="C2" s="81"/>
      <c r="D2" s="81"/>
      <c r="E2" s="82"/>
      <c r="F2" s="13"/>
    </row>
    <row r="3" spans="1:6" s="1" customFormat="1" ht="17.25" customHeight="1" x14ac:dyDescent="0.25">
      <c r="A3" s="14" t="s">
        <v>90</v>
      </c>
      <c r="B3" s="93"/>
      <c r="C3" s="93"/>
      <c r="D3" s="93"/>
      <c r="E3" s="93"/>
      <c r="F3" s="13"/>
    </row>
    <row r="4" spans="1:6" x14ac:dyDescent="0.25">
      <c r="A4" s="83" t="s">
        <v>0</v>
      </c>
      <c r="B4" s="83"/>
      <c r="C4" s="83"/>
      <c r="D4" s="83"/>
      <c r="E4" s="83"/>
    </row>
    <row r="5" spans="1:6" x14ac:dyDescent="0.25">
      <c r="A5" s="89" t="s">
        <v>1</v>
      </c>
      <c r="B5" s="90"/>
      <c r="C5" s="111"/>
      <c r="D5" s="112"/>
      <c r="E5" s="113"/>
      <c r="F5" s="1"/>
    </row>
    <row r="6" spans="1:6" x14ac:dyDescent="0.25">
      <c r="A6" s="89" t="s">
        <v>2</v>
      </c>
      <c r="B6" s="90"/>
      <c r="C6" s="114"/>
      <c r="D6" s="115"/>
      <c r="E6" s="116"/>
      <c r="F6" s="1"/>
    </row>
    <row r="7" spans="1:6" x14ac:dyDescent="0.25">
      <c r="A7" s="89" t="s">
        <v>3</v>
      </c>
      <c r="B7" s="90"/>
      <c r="C7" s="107"/>
      <c r="D7" s="108"/>
      <c r="E7" s="109"/>
      <c r="F7" s="1"/>
    </row>
    <row r="8" spans="1:6" ht="17.25" x14ac:dyDescent="0.25">
      <c r="A8" s="91" t="s">
        <v>86</v>
      </c>
      <c r="B8" s="92"/>
      <c r="C8" s="15" t="s">
        <v>4</v>
      </c>
      <c r="D8" s="15" t="s">
        <v>63</v>
      </c>
      <c r="E8" s="15" t="s">
        <v>64</v>
      </c>
      <c r="F8" s="1"/>
    </row>
    <row r="9" spans="1:6" x14ac:dyDescent="0.25">
      <c r="A9" s="89" t="s">
        <v>5</v>
      </c>
      <c r="B9" s="90"/>
      <c r="C9" s="61"/>
      <c r="D9" s="61"/>
      <c r="E9" s="61"/>
      <c r="F9" s="1"/>
    </row>
    <row r="10" spans="1:6" x14ac:dyDescent="0.25">
      <c r="A10" s="89" t="s">
        <v>6</v>
      </c>
      <c r="B10" s="90"/>
      <c r="C10" s="61"/>
      <c r="D10" s="61"/>
      <c r="E10" s="61"/>
    </row>
    <row r="11" spans="1:6" x14ac:dyDescent="0.25">
      <c r="A11" s="89" t="s">
        <v>7</v>
      </c>
      <c r="B11" s="90"/>
      <c r="C11" s="61"/>
      <c r="D11" s="61"/>
      <c r="E11" s="61"/>
    </row>
    <row r="12" spans="1:6" x14ac:dyDescent="0.25">
      <c r="A12" s="89" t="s">
        <v>8</v>
      </c>
      <c r="B12" s="90"/>
      <c r="C12" s="61"/>
      <c r="D12" s="61"/>
      <c r="E12" s="61"/>
    </row>
    <row r="13" spans="1:6" ht="17.25" x14ac:dyDescent="0.25">
      <c r="A13" s="94" t="s">
        <v>9</v>
      </c>
      <c r="B13" s="95"/>
      <c r="C13" s="60"/>
      <c r="D13" s="16" t="s">
        <v>65</v>
      </c>
      <c r="E13" s="86" t="s">
        <v>14</v>
      </c>
    </row>
    <row r="14" spans="1:6" ht="15" customHeight="1" x14ac:dyDescent="0.25">
      <c r="A14" s="96" t="s">
        <v>66</v>
      </c>
      <c r="B14" s="97"/>
      <c r="C14" s="17" t="str">
        <f>IFERROR((((E9*1000000)/C13)/86400)/365,"")</f>
        <v/>
      </c>
      <c r="D14" s="18" t="s">
        <v>10</v>
      </c>
      <c r="E14" s="87"/>
    </row>
    <row r="15" spans="1:6" x14ac:dyDescent="0.25">
      <c r="A15" s="98"/>
      <c r="B15" s="99"/>
      <c r="C15" s="19" t="str">
        <f>IFERROR((((E9*1000000)/C13)/86400),"")</f>
        <v/>
      </c>
      <c r="D15" s="20" t="s">
        <v>11</v>
      </c>
      <c r="E15" s="87"/>
    </row>
    <row r="16" spans="1:6" ht="30" customHeight="1" x14ac:dyDescent="0.25">
      <c r="A16" s="100" t="s">
        <v>67</v>
      </c>
      <c r="B16" s="101"/>
      <c r="C16" s="21" t="str">
        <f>IFERROR(1/C14,"")</f>
        <v/>
      </c>
      <c r="D16" s="20" t="s">
        <v>68</v>
      </c>
      <c r="E16" s="87"/>
    </row>
    <row r="17" spans="1:5" x14ac:dyDescent="0.25">
      <c r="A17" s="22" t="s">
        <v>12</v>
      </c>
      <c r="B17" s="22"/>
      <c r="C17" s="21" t="str">
        <f>IFERROR(E12/D12,"")</f>
        <v/>
      </c>
      <c r="D17" s="20" t="s">
        <v>13</v>
      </c>
      <c r="E17" s="88"/>
    </row>
    <row r="18" spans="1:5" x14ac:dyDescent="0.25">
      <c r="A18" s="83" t="s">
        <v>15</v>
      </c>
      <c r="B18" s="83"/>
      <c r="C18" s="83"/>
      <c r="D18" s="83"/>
      <c r="E18" s="83"/>
    </row>
    <row r="19" spans="1:5" x14ac:dyDescent="0.25">
      <c r="A19" s="102" t="s">
        <v>16</v>
      </c>
      <c r="B19" s="103"/>
      <c r="C19" s="110"/>
      <c r="D19" s="110"/>
      <c r="E19" s="86" t="s">
        <v>24</v>
      </c>
    </row>
    <row r="20" spans="1:5" x14ac:dyDescent="0.25">
      <c r="A20" s="23" t="s">
        <v>17</v>
      </c>
      <c r="B20" s="23"/>
      <c r="C20" s="59"/>
      <c r="D20" s="16" t="s">
        <v>18</v>
      </c>
      <c r="E20" s="87"/>
    </row>
    <row r="21" spans="1:5" x14ac:dyDescent="0.25">
      <c r="A21" s="23" t="s">
        <v>19</v>
      </c>
      <c r="B21" s="23"/>
      <c r="C21" s="59"/>
      <c r="D21" s="16" t="s">
        <v>20</v>
      </c>
      <c r="E21" s="87"/>
    </row>
    <row r="22" spans="1:5" x14ac:dyDescent="0.25">
      <c r="A22" s="23" t="s">
        <v>21</v>
      </c>
      <c r="B22" s="23"/>
      <c r="C22" s="59"/>
      <c r="D22" s="24" t="s">
        <v>22</v>
      </c>
      <c r="E22" s="87"/>
    </row>
    <row r="23" spans="1:5" x14ac:dyDescent="0.25">
      <c r="A23" s="20" t="s">
        <v>23</v>
      </c>
      <c r="B23" s="20"/>
      <c r="C23" s="25">
        <f>(C20*C22)-C21</f>
        <v>0</v>
      </c>
      <c r="D23" s="25" t="s">
        <v>20</v>
      </c>
      <c r="E23" s="88"/>
    </row>
    <row r="24" spans="1:5" x14ac:dyDescent="0.25">
      <c r="A24" s="117" t="s">
        <v>25</v>
      </c>
      <c r="B24" s="117"/>
      <c r="C24" s="117"/>
      <c r="D24" s="117"/>
      <c r="E24" s="117"/>
    </row>
    <row r="25" spans="1:5" x14ac:dyDescent="0.25">
      <c r="A25" s="83" t="s">
        <v>26</v>
      </c>
      <c r="B25" s="83"/>
      <c r="C25" s="83"/>
      <c r="D25" s="83"/>
      <c r="E25" s="83"/>
    </row>
    <row r="26" spans="1:5" x14ac:dyDescent="0.25">
      <c r="A26" s="84" t="s">
        <v>27</v>
      </c>
      <c r="B26" s="84"/>
      <c r="C26" s="84"/>
      <c r="D26" s="84"/>
      <c r="E26" s="85"/>
    </row>
    <row r="27" spans="1:5" ht="17.25" x14ac:dyDescent="0.25">
      <c r="A27" s="23" t="s">
        <v>28</v>
      </c>
      <c r="B27" s="23"/>
      <c r="C27" s="16">
        <v>5</v>
      </c>
      <c r="D27" s="26" t="s">
        <v>69</v>
      </c>
      <c r="E27" s="27"/>
    </row>
    <row r="28" spans="1:5" ht="17.25" x14ac:dyDescent="0.25">
      <c r="A28" s="20" t="s">
        <v>29</v>
      </c>
      <c r="B28" s="20"/>
      <c r="C28" s="28">
        <f>E11</f>
        <v>0</v>
      </c>
      <c r="D28" s="29" t="s">
        <v>70</v>
      </c>
      <c r="E28" s="30"/>
    </row>
    <row r="29" spans="1:5" x14ac:dyDescent="0.25">
      <c r="A29" s="20" t="s">
        <v>30</v>
      </c>
      <c r="B29" s="20"/>
      <c r="C29" s="31" t="str">
        <f>C14</f>
        <v/>
      </c>
      <c r="D29" s="29" t="s">
        <v>10</v>
      </c>
      <c r="E29" s="32"/>
    </row>
    <row r="30" spans="1:5" ht="17.25" x14ac:dyDescent="0.25">
      <c r="A30" s="20" t="s">
        <v>31</v>
      </c>
      <c r="B30" s="20"/>
      <c r="C30" s="31" t="str">
        <f>IFERROR(0.761*(1-EXP(-0.0282*(C29 * 365))),"")</f>
        <v/>
      </c>
      <c r="D30" s="29"/>
      <c r="E30" s="33" t="s">
        <v>71</v>
      </c>
    </row>
    <row r="31" spans="1:5" x14ac:dyDescent="0.25">
      <c r="A31" s="34" t="s">
        <v>32</v>
      </c>
      <c r="B31" s="34"/>
      <c r="C31" s="35" t="str">
        <f>IFERROR(C16/(1-(1/(1+0.614*(C16^0.491)))),"")</f>
        <v/>
      </c>
      <c r="D31" s="36"/>
      <c r="E31" s="37" t="s">
        <v>33</v>
      </c>
    </row>
    <row r="32" spans="1:5" ht="17.25" x14ac:dyDescent="0.25">
      <c r="A32" s="20" t="s">
        <v>34</v>
      </c>
      <c r="B32" s="20"/>
      <c r="C32" s="38" t="str">
        <f>IFERROR((C27*C28*(1/C29))/(1-C30),"")</f>
        <v/>
      </c>
      <c r="D32" s="39" t="s">
        <v>35</v>
      </c>
      <c r="E32" s="40" t="s">
        <v>72</v>
      </c>
    </row>
    <row r="33" spans="1:5" x14ac:dyDescent="0.25">
      <c r="A33" s="118" t="s">
        <v>36</v>
      </c>
      <c r="B33" s="118"/>
      <c r="C33" s="118"/>
      <c r="D33" s="118"/>
      <c r="E33" s="119"/>
    </row>
    <row r="34" spans="1:5" x14ac:dyDescent="0.25">
      <c r="A34" s="41" t="s">
        <v>37</v>
      </c>
      <c r="B34" s="41"/>
      <c r="C34" s="42"/>
      <c r="D34" s="43"/>
      <c r="E34" s="44"/>
    </row>
    <row r="35" spans="1:5" x14ac:dyDescent="0.25">
      <c r="A35" s="104" t="s">
        <v>38</v>
      </c>
      <c r="B35" s="104"/>
      <c r="C35" s="104"/>
      <c r="D35" s="104"/>
      <c r="E35" s="105"/>
    </row>
    <row r="36" spans="1:5" x14ac:dyDescent="0.25">
      <c r="A36" s="62" t="s">
        <v>39</v>
      </c>
      <c r="B36" s="63"/>
      <c r="C36" s="38" t="str">
        <f>IFERROR(C32/C23,"")</f>
        <v/>
      </c>
      <c r="D36" s="39" t="s">
        <v>40</v>
      </c>
      <c r="E36" s="45" t="s">
        <v>41</v>
      </c>
    </row>
    <row r="37" spans="1:5" x14ac:dyDescent="0.25">
      <c r="A37" s="64"/>
      <c r="B37" s="65"/>
      <c r="C37" s="31" t="str">
        <f>IFERROR(C36*1000,"")</f>
        <v/>
      </c>
      <c r="D37" s="29" t="s">
        <v>35</v>
      </c>
      <c r="E37" s="32"/>
    </row>
    <row r="38" spans="1:5" x14ac:dyDescent="0.25">
      <c r="A38" s="20" t="s">
        <v>42</v>
      </c>
      <c r="B38" s="20"/>
      <c r="C38" s="38" t="str">
        <f>IFERROR(C36*C22,"")</f>
        <v/>
      </c>
      <c r="D38" s="39" t="s">
        <v>40</v>
      </c>
      <c r="E38" s="32" t="s">
        <v>43</v>
      </c>
    </row>
    <row r="39" spans="1:5" ht="17.25" x14ac:dyDescent="0.25">
      <c r="A39" s="20" t="s">
        <v>44</v>
      </c>
      <c r="B39" s="20"/>
      <c r="C39" s="38">
        <f>D12*10^6 * 1%</f>
        <v>0</v>
      </c>
      <c r="D39" s="46" t="s">
        <v>73</v>
      </c>
      <c r="E39" s="32"/>
    </row>
    <row r="40" spans="1:5" ht="17.25" x14ac:dyDescent="0.25">
      <c r="A40" s="20" t="s">
        <v>45</v>
      </c>
      <c r="B40" s="20"/>
      <c r="C40" s="38">
        <f>C39*0.2</f>
        <v>0</v>
      </c>
      <c r="D40" s="46" t="s">
        <v>73</v>
      </c>
      <c r="E40" s="32"/>
    </row>
    <row r="41" spans="1:5" ht="17.25" x14ac:dyDescent="0.25">
      <c r="A41" s="22" t="s">
        <v>74</v>
      </c>
      <c r="B41" s="22"/>
      <c r="C41" s="16"/>
      <c r="D41" s="47"/>
      <c r="E41" s="48"/>
    </row>
    <row r="42" spans="1:5" x14ac:dyDescent="0.25">
      <c r="A42" s="83" t="s">
        <v>46</v>
      </c>
      <c r="B42" s="83"/>
      <c r="C42" s="83"/>
      <c r="D42" s="83"/>
      <c r="E42" s="106"/>
    </row>
    <row r="43" spans="1:5" x14ac:dyDescent="0.25">
      <c r="A43" s="104" t="s">
        <v>47</v>
      </c>
      <c r="B43" s="104"/>
      <c r="C43" s="104"/>
      <c r="D43" s="104"/>
      <c r="E43" s="104"/>
    </row>
    <row r="44" spans="1:5" x14ac:dyDescent="0.25">
      <c r="A44" s="49" t="s">
        <v>48</v>
      </c>
      <c r="B44" s="49"/>
      <c r="C44" s="120"/>
      <c r="D44" s="120"/>
      <c r="E44" s="120"/>
    </row>
    <row r="45" spans="1:5" ht="17.25" x14ac:dyDescent="0.25">
      <c r="A45" s="50" t="s">
        <v>75</v>
      </c>
      <c r="B45" s="50"/>
      <c r="C45" s="28">
        <f>C46*1000</f>
        <v>0</v>
      </c>
      <c r="D45" s="28">
        <f t="shared" ref="D45:E45" si="0">D46*1000</f>
        <v>0</v>
      </c>
      <c r="E45" s="28">
        <f t="shared" si="0"/>
        <v>0</v>
      </c>
    </row>
    <row r="46" spans="1:5" x14ac:dyDescent="0.25">
      <c r="A46" s="25" t="s">
        <v>49</v>
      </c>
      <c r="B46" s="25"/>
      <c r="C46" s="56"/>
      <c r="D46" s="57"/>
      <c r="E46" s="58"/>
    </row>
    <row r="47" spans="1:5" x14ac:dyDescent="0.25">
      <c r="A47" s="50" t="s">
        <v>50</v>
      </c>
      <c r="B47" s="50"/>
      <c r="C47" s="51" t="str">
        <f>IFERROR(C46/$C$36,"")</f>
        <v/>
      </c>
      <c r="D47" s="51"/>
      <c r="E47" s="51"/>
    </row>
    <row r="48" spans="1:5" ht="17.25" x14ac:dyDescent="0.25">
      <c r="A48" s="50" t="s">
        <v>76</v>
      </c>
      <c r="B48" s="50"/>
      <c r="C48" s="121"/>
      <c r="D48" s="121"/>
      <c r="E48" s="121"/>
    </row>
    <row r="49" spans="1:5" x14ac:dyDescent="0.25">
      <c r="A49" s="50" t="s">
        <v>51</v>
      </c>
      <c r="B49" s="50"/>
      <c r="C49" s="122"/>
      <c r="D49" s="123"/>
      <c r="E49" s="123"/>
    </row>
    <row r="50" spans="1:5" ht="17.25" x14ac:dyDescent="0.25">
      <c r="A50" s="50" t="s">
        <v>77</v>
      </c>
      <c r="B50" s="50"/>
      <c r="C50" s="66">
        <f>C48*C49</f>
        <v>0</v>
      </c>
      <c r="D50" s="67"/>
      <c r="E50" s="68"/>
    </row>
    <row r="51" spans="1:5" ht="17.25" x14ac:dyDescent="0.25">
      <c r="A51" s="50" t="s">
        <v>78</v>
      </c>
      <c r="B51" s="50"/>
      <c r="C51" s="121"/>
      <c r="D51" s="121"/>
      <c r="E51" s="121"/>
    </row>
    <row r="52" spans="1:5" x14ac:dyDescent="0.25">
      <c r="A52" s="69" t="s">
        <v>52</v>
      </c>
      <c r="B52" s="70"/>
      <c r="C52" s="121"/>
      <c r="D52" s="121"/>
      <c r="E52" s="121"/>
    </row>
    <row r="53" spans="1:5" x14ac:dyDescent="0.25">
      <c r="A53" s="50" t="s">
        <v>53</v>
      </c>
      <c r="B53" s="50"/>
      <c r="C53" s="121"/>
      <c r="D53" s="121"/>
      <c r="E53" s="121"/>
    </row>
    <row r="54" spans="1:5" x14ac:dyDescent="0.25">
      <c r="A54" s="69" t="s">
        <v>54</v>
      </c>
      <c r="B54" s="70"/>
      <c r="C54" s="121"/>
      <c r="D54" s="121"/>
      <c r="E54" s="121"/>
    </row>
    <row r="55" spans="1:5" x14ac:dyDescent="0.25">
      <c r="A55" s="50" t="s">
        <v>55</v>
      </c>
      <c r="B55" s="50"/>
      <c r="C55" s="121"/>
      <c r="D55" s="121"/>
      <c r="E55" s="121"/>
    </row>
    <row r="56" spans="1:5" ht="17.25" x14ac:dyDescent="0.25">
      <c r="A56" s="50" t="s">
        <v>79</v>
      </c>
      <c r="B56" s="50"/>
      <c r="C56" s="121"/>
      <c r="D56" s="134"/>
      <c r="E56" s="134"/>
    </row>
    <row r="57" spans="1:5" ht="17.25" x14ac:dyDescent="0.25">
      <c r="A57" s="50" t="s">
        <v>80</v>
      </c>
      <c r="B57" s="29"/>
      <c r="C57" s="71">
        <f>C56*0.8</f>
        <v>0</v>
      </c>
      <c r="D57" s="72"/>
      <c r="E57" s="73"/>
    </row>
    <row r="58" spans="1:5" ht="17.25" x14ac:dyDescent="0.25">
      <c r="A58" s="50" t="s">
        <v>81</v>
      </c>
      <c r="B58" s="29"/>
      <c r="C58" s="74" t="str">
        <f>IFERROR(((C46*1000)/C50)/C54,"")</f>
        <v/>
      </c>
      <c r="D58" s="75"/>
      <c r="E58" s="76"/>
    </row>
    <row r="59" spans="1:5" ht="17.25" x14ac:dyDescent="0.25">
      <c r="A59" s="69" t="s">
        <v>82</v>
      </c>
      <c r="B59" s="70"/>
      <c r="C59" s="74">
        <f>C57*C55</f>
        <v>0</v>
      </c>
      <c r="D59" s="75"/>
      <c r="E59" s="76"/>
    </row>
    <row r="60" spans="1:5" x14ac:dyDescent="0.25">
      <c r="A60" s="50" t="s">
        <v>56</v>
      </c>
      <c r="B60" s="29"/>
      <c r="C60" s="74" t="str">
        <f>IFERROR(C58/C56,"")</f>
        <v/>
      </c>
      <c r="D60" s="75"/>
      <c r="E60" s="76"/>
    </row>
    <row r="61" spans="1:5" ht="17.25" x14ac:dyDescent="0.25">
      <c r="A61" s="69" t="s">
        <v>83</v>
      </c>
      <c r="B61" s="70"/>
      <c r="C61" s="74" t="str">
        <f>IFERROR(C58-C59,"")</f>
        <v/>
      </c>
      <c r="D61" s="75"/>
      <c r="E61" s="76"/>
    </row>
    <row r="62" spans="1:5" x14ac:dyDescent="0.25">
      <c r="A62" s="69" t="s">
        <v>57</v>
      </c>
      <c r="B62" s="70"/>
      <c r="C62" s="74" t="str">
        <f>IFERROR((C58*C50)-(C59*C50),"")</f>
        <v/>
      </c>
      <c r="D62" s="75"/>
      <c r="E62" s="76"/>
    </row>
    <row r="63" spans="1:5" x14ac:dyDescent="0.25">
      <c r="A63" s="50" t="s">
        <v>58</v>
      </c>
      <c r="B63" s="29"/>
      <c r="C63" s="74" t="str">
        <f>IFERROR(((C58*C50)-(C59*C50))*C52*C54,"")</f>
        <v/>
      </c>
      <c r="D63" s="75"/>
      <c r="E63" s="76"/>
    </row>
    <row r="64" spans="1:5" x14ac:dyDescent="0.25">
      <c r="A64" s="25" t="s">
        <v>59</v>
      </c>
      <c r="B64" s="39"/>
      <c r="C64" s="126" t="str">
        <f>IFERROR(C63/(365*1.5),"")</f>
        <v/>
      </c>
      <c r="D64" s="127"/>
      <c r="E64" s="128"/>
    </row>
    <row r="65" spans="1:18" x14ac:dyDescent="0.25">
      <c r="A65" s="50" t="s">
        <v>60</v>
      </c>
      <c r="B65" s="29"/>
      <c r="C65" s="74" t="str">
        <f>IFERROR((C63*C53/1000) * ((C52*C53-$C$21) / ($C$21 + (C52*C53-$C$21))),"")</f>
        <v/>
      </c>
      <c r="D65" s="75"/>
      <c r="E65" s="76"/>
    </row>
    <row r="66" spans="1:18" x14ac:dyDescent="0.25">
      <c r="A66" s="25" t="s">
        <v>61</v>
      </c>
      <c r="B66" s="39"/>
      <c r="C66" s="131" t="str">
        <f>IFERROR(C65/365,"")</f>
        <v/>
      </c>
      <c r="D66" s="132"/>
      <c r="E66" s="133"/>
    </row>
    <row r="67" spans="1:18" ht="17.25" x14ac:dyDescent="0.25">
      <c r="A67" s="50" t="s">
        <v>84</v>
      </c>
      <c r="B67" s="29"/>
      <c r="C67" s="66">
        <f>C49*C51</f>
        <v>0</v>
      </c>
      <c r="D67" s="67"/>
      <c r="E67" s="68"/>
    </row>
    <row r="68" spans="1:18" ht="15.75" x14ac:dyDescent="0.25">
      <c r="A68" s="50" t="s">
        <v>62</v>
      </c>
      <c r="B68" s="50"/>
      <c r="C68" s="129"/>
      <c r="D68" s="130"/>
      <c r="E68" s="130"/>
      <c r="I68" s="3"/>
      <c r="J68" s="3"/>
      <c r="K68" s="124"/>
      <c r="L68" s="124"/>
      <c r="M68" s="124"/>
      <c r="N68" s="124"/>
      <c r="O68" s="4"/>
      <c r="P68" s="124"/>
      <c r="Q68" s="124"/>
      <c r="R68" s="124"/>
    </row>
    <row r="69" spans="1:18" ht="17.25" x14ac:dyDescent="0.25">
      <c r="A69" s="50" t="s">
        <v>85</v>
      </c>
      <c r="B69" s="29"/>
      <c r="C69" s="66">
        <f>C68*10000</f>
        <v>0</v>
      </c>
      <c r="D69" s="67"/>
      <c r="E69" s="68"/>
      <c r="I69" s="5"/>
      <c r="J69" s="6"/>
      <c r="K69" s="6"/>
      <c r="L69" s="6"/>
      <c r="M69" s="6"/>
      <c r="N69" s="6"/>
      <c r="O69" s="6"/>
      <c r="P69" s="6"/>
      <c r="Q69" s="6"/>
      <c r="R69" s="6"/>
    </row>
    <row r="70" spans="1:18" ht="15.75" x14ac:dyDescent="0.25">
      <c r="A70" s="52"/>
      <c r="B70" s="52"/>
      <c r="C70" s="52"/>
      <c r="D70" s="52"/>
      <c r="E70" s="52"/>
      <c r="G70" s="10"/>
      <c r="H70" s="10"/>
      <c r="I70" s="7"/>
      <c r="J70" s="7"/>
      <c r="K70" s="124"/>
      <c r="L70" s="124"/>
      <c r="M70" s="124"/>
      <c r="N70" s="124"/>
      <c r="O70" s="4"/>
      <c r="P70" s="124"/>
      <c r="Q70" s="124"/>
      <c r="R70" s="124"/>
    </row>
    <row r="71" spans="1:18" x14ac:dyDescent="0.25">
      <c r="A71" s="52"/>
      <c r="B71" s="52"/>
      <c r="C71" s="52"/>
      <c r="D71" s="52"/>
      <c r="E71" s="52"/>
      <c r="G71" s="10"/>
      <c r="H71" s="10"/>
      <c r="I71" s="10"/>
      <c r="J71" s="10"/>
    </row>
    <row r="72" spans="1:18" ht="15.75" x14ac:dyDescent="0.25">
      <c r="A72" s="53" t="s">
        <v>87</v>
      </c>
      <c r="B72" s="125"/>
      <c r="C72" s="125"/>
      <c r="D72" s="54" t="s">
        <v>88</v>
      </c>
      <c r="E72" s="8"/>
      <c r="F72" s="11"/>
      <c r="G72" s="4"/>
      <c r="H72" s="124"/>
      <c r="I72" s="124"/>
      <c r="J72" s="124"/>
    </row>
    <row r="73" spans="1:18" ht="15.75" x14ac:dyDescent="0.25">
      <c r="A73" s="52"/>
      <c r="B73" s="52"/>
      <c r="C73" s="55"/>
      <c r="D73" s="55"/>
      <c r="E73" s="55"/>
      <c r="F73" s="2"/>
      <c r="G73" s="6"/>
      <c r="H73" s="6"/>
      <c r="I73" s="6"/>
      <c r="J73" s="6"/>
    </row>
    <row r="74" spans="1:18" ht="15.75" x14ac:dyDescent="0.25">
      <c r="A74" s="54"/>
      <c r="B74" s="135"/>
      <c r="C74" s="135"/>
      <c r="D74" s="54" t="s">
        <v>89</v>
      </c>
      <c r="E74" s="8"/>
      <c r="F74" s="11"/>
      <c r="G74" s="4"/>
      <c r="H74" s="124"/>
      <c r="I74" s="124"/>
      <c r="J74" s="124"/>
    </row>
    <row r="75" spans="1:18" x14ac:dyDescent="0.25">
      <c r="G75" s="9"/>
      <c r="H75" s="9"/>
      <c r="I75" s="9"/>
      <c r="J75" s="9"/>
    </row>
    <row r="76" spans="1:18" x14ac:dyDescent="0.25">
      <c r="G76" s="10"/>
      <c r="H76" s="10"/>
      <c r="I76" s="10"/>
      <c r="J76" s="10"/>
    </row>
    <row r="77" spans="1:18" x14ac:dyDescent="0.25">
      <c r="G77" s="10"/>
      <c r="H77" s="10"/>
      <c r="I77" s="10"/>
      <c r="J77" s="10"/>
    </row>
    <row r="78" spans="1:18" x14ac:dyDescent="0.25">
      <c r="G78" s="10"/>
      <c r="H78" s="10"/>
      <c r="I78" s="10"/>
      <c r="J78" s="10"/>
    </row>
    <row r="79" spans="1:18" x14ac:dyDescent="0.25">
      <c r="G79" s="10"/>
      <c r="H79" s="10"/>
      <c r="I79" s="10"/>
      <c r="J79" s="10"/>
    </row>
  </sheetData>
  <sheetProtection password="C788" sheet="1" objects="1" scenarios="1"/>
  <mergeCells count="67">
    <mergeCell ref="C56:E56"/>
    <mergeCell ref="P70:R70"/>
    <mergeCell ref="K70:N70"/>
    <mergeCell ref="C68:E68"/>
    <mergeCell ref="P68:R68"/>
    <mergeCell ref="K68:N68"/>
    <mergeCell ref="C69:E69"/>
    <mergeCell ref="C60:E60"/>
    <mergeCell ref="C61:E61"/>
    <mergeCell ref="C62:E62"/>
    <mergeCell ref="C63:E63"/>
    <mergeCell ref="C64:E64"/>
    <mergeCell ref="H72:J72"/>
    <mergeCell ref="H74:J74"/>
    <mergeCell ref="B72:C72"/>
    <mergeCell ref="B74:C74"/>
    <mergeCell ref="A61:B61"/>
    <mergeCell ref="A62:B62"/>
    <mergeCell ref="C65:E65"/>
    <mergeCell ref="C66:E66"/>
    <mergeCell ref="C67:E67"/>
    <mergeCell ref="A35:E35"/>
    <mergeCell ref="A42:E42"/>
    <mergeCell ref="A43:E43"/>
    <mergeCell ref="A4:E4"/>
    <mergeCell ref="C7:E7"/>
    <mergeCell ref="C19:D19"/>
    <mergeCell ref="C5:E5"/>
    <mergeCell ref="C6:E6"/>
    <mergeCell ref="A24:E24"/>
    <mergeCell ref="A33:E33"/>
    <mergeCell ref="A10:B10"/>
    <mergeCell ref="A11:B11"/>
    <mergeCell ref="A12:B12"/>
    <mergeCell ref="E13:E17"/>
    <mergeCell ref="A1:E1"/>
    <mergeCell ref="A2:E2"/>
    <mergeCell ref="A18:E18"/>
    <mergeCell ref="A25:E25"/>
    <mergeCell ref="A26:E26"/>
    <mergeCell ref="E19:E23"/>
    <mergeCell ref="A5:B5"/>
    <mergeCell ref="A7:B7"/>
    <mergeCell ref="A6:B6"/>
    <mergeCell ref="A8:B8"/>
    <mergeCell ref="A9:B9"/>
    <mergeCell ref="B3:E3"/>
    <mergeCell ref="A13:B13"/>
    <mergeCell ref="A14:B15"/>
    <mergeCell ref="A16:B16"/>
    <mergeCell ref="A19:B19"/>
    <mergeCell ref="A36:B37"/>
    <mergeCell ref="C50:E50"/>
    <mergeCell ref="A52:B52"/>
    <mergeCell ref="A54:B54"/>
    <mergeCell ref="A59:B59"/>
    <mergeCell ref="C57:E57"/>
    <mergeCell ref="C58:E58"/>
    <mergeCell ref="C59:E59"/>
    <mergeCell ref="C44:E44"/>
    <mergeCell ref="C48:E48"/>
    <mergeCell ref="C49:E49"/>
    <mergeCell ref="C51:E51"/>
    <mergeCell ref="C52:E52"/>
    <mergeCell ref="C53:E53"/>
    <mergeCell ref="C54:E54"/>
    <mergeCell ref="C55:E55"/>
  </mergeCells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Ferreira Serratine</dc:creator>
  <cp:lastModifiedBy>Jeverson Vasconcelos Souza</cp:lastModifiedBy>
  <cp:lastPrinted>2015-05-20T13:19:37Z</cp:lastPrinted>
  <dcterms:created xsi:type="dcterms:W3CDTF">2015-05-20T12:33:26Z</dcterms:created>
  <dcterms:modified xsi:type="dcterms:W3CDTF">2015-12-18T18:28:47Z</dcterms:modified>
</cp:coreProperties>
</file>